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G:\내 드라이브\etc\"/>
    </mc:Choice>
  </mc:AlternateContent>
  <xr:revisionPtr revIDLastSave="0" documentId="13_ncr:1_{22F44B4E-38B6-4287-857E-EC210E044616}" xr6:coauthVersionLast="47" xr6:coauthVersionMax="47" xr10:uidLastSave="{00000000-0000-0000-0000-000000000000}"/>
  <bookViews>
    <workbookView xWindow="-110" yWindow="-110" windowWidth="25820" windowHeight="15500" tabRatio="500" xr2:uid="{00000000-000D-0000-FFFF-FFFF00000000}"/>
  </bookViews>
  <sheets>
    <sheet name="Spotting" sheetId="1" r:id="rId1"/>
    <sheet name="Info" sheetId="2" r:id="rId2"/>
    <sheet name="Credit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22" i="1" l="1"/>
  <c r="L19" i="1"/>
  <c r="K19" i="1"/>
  <c r="J19" i="1"/>
  <c r="H19" i="1"/>
  <c r="G19" i="1"/>
  <c r="F19" i="1"/>
  <c r="D19" i="1"/>
  <c r="C19" i="1"/>
  <c r="B19" i="1"/>
  <c r="L18" i="1"/>
  <c r="K18" i="1"/>
  <c r="J18" i="1"/>
  <c r="H18" i="1"/>
  <c r="G18" i="1"/>
  <c r="F18" i="1"/>
  <c r="D18" i="1"/>
  <c r="C18" i="1"/>
  <c r="B18" i="1"/>
  <c r="L17" i="1"/>
  <c r="K17" i="1"/>
  <c r="J17" i="1"/>
  <c r="H17" i="1"/>
  <c r="G17" i="1"/>
  <c r="F17" i="1"/>
  <c r="D17" i="1"/>
  <c r="C17" i="1"/>
  <c r="B17" i="1"/>
  <c r="L16" i="1"/>
  <c r="K16" i="1"/>
  <c r="J16" i="1"/>
  <c r="H16" i="1"/>
  <c r="G16" i="1"/>
  <c r="F16" i="1"/>
  <c r="D16" i="1"/>
  <c r="C16" i="1"/>
  <c r="B16" i="1"/>
  <c r="L12" i="1"/>
  <c r="K12" i="1"/>
  <c r="J12" i="1"/>
  <c r="H12" i="1"/>
  <c r="G12" i="1"/>
  <c r="F12" i="1"/>
  <c r="D12" i="1"/>
  <c r="C12" i="1"/>
  <c r="B12" i="1"/>
  <c r="L11" i="1"/>
  <c r="K11" i="1"/>
  <c r="J11" i="1"/>
  <c r="H11" i="1"/>
  <c r="G11" i="1"/>
  <c r="F11" i="1"/>
  <c r="D11" i="1"/>
  <c r="C11" i="1"/>
  <c r="B11" i="1"/>
  <c r="L10" i="1"/>
  <c r="K10" i="1"/>
  <c r="J10" i="1"/>
  <c r="H10" i="1"/>
  <c r="G10" i="1"/>
  <c r="F10" i="1"/>
  <c r="D10" i="1"/>
  <c r="C10" i="1"/>
  <c r="B10" i="1"/>
  <c r="L9" i="1"/>
  <c r="K9" i="1"/>
  <c r="J9" i="1"/>
  <c r="H9" i="1"/>
  <c r="G9" i="1"/>
  <c r="F9" i="1"/>
  <c r="D9" i="1"/>
  <c r="C9" i="1"/>
  <c r="B9" i="1"/>
</calcChain>
</file>

<file path=xl/sharedStrings.xml><?xml version="1.0" encoding="utf-8"?>
<sst xmlns="http://schemas.openxmlformats.org/spreadsheetml/2006/main" count="69" uniqueCount="47">
  <si>
    <t>Camo Vehicle (%)</t>
  </si>
  <si>
    <t>Camo after firing (%)</t>
  </si>
  <si>
    <t>View Range (m)</t>
  </si>
  <si>
    <t>Spotting Range Stationary (m)</t>
  </si>
  <si>
    <t>No CVS</t>
  </si>
  <si>
    <t>CVS 15%</t>
  </si>
  <si>
    <t>CVS 20%</t>
  </si>
  <si>
    <t>Not firing</t>
  </si>
  <si>
    <t>after firing
 (15m behind bush)</t>
  </si>
  <si>
    <t>after firing
 (in bush)</t>
  </si>
  <si>
    <t>80% Bush</t>
  </si>
  <si>
    <t>50% Bush</t>
  </si>
  <si>
    <t>25% Bush</t>
  </si>
  <si>
    <t>No Bush</t>
  </si>
  <si>
    <t>Spotting Range Moving (m)</t>
  </si>
  <si>
    <t>Shell Velocity (m/s)</t>
  </si>
  <si>
    <t>Unspotted Kill Range (m)</t>
  </si>
  <si>
    <t>Calculations used:</t>
  </si>
  <si>
    <t>Spotting Range Stationary (m):</t>
  </si>
  <si>
    <t>SpotRange=(ViewRange)-((CamoV/100)+CamoF*CVSFactor)*(ViewRange-50)</t>
  </si>
  <si>
    <t>Spotting Range Moving (m):</t>
  </si>
  <si>
    <t>requires camo values for moving vehicle</t>
  </si>
  <si>
    <t>SpotRange=(ViewRange)-((CamoV/100)*CVSFactorMoving+CamoF*CVSFactor)*(ViewRange-50)</t>
  </si>
  <si>
    <t>after firing (in bush):</t>
  </si>
  <si>
    <t>When testing spotting ranges after firing, it seems like every gun has its own ratio of camo loss that is applied to vehicle camo and bush camo when firing, which is the same ratio the game displays for your vehicle camo / after firing (e.g. a tank with 10/1 camo loses 90% camo after firing and retains 10%).</t>
  </si>
  <si>
    <t>When shooting only one bush can add camo, so the 50% and 80% are the same as there is no way to get 80% bush camo.</t>
  </si>
  <si>
    <t>SpotRange=ViewRange – (CamoV / 100) + CamoF * CVSFactor) * CamoRetention * (ViewRange-50)</t>
  </si>
  <si>
    <t>Unspotted Kill Range (m):</t>
  </si>
  <si>
    <t>To kill a target unspotted your shell needs to reach it faster than its Spotting Rate. Seems to be vary between 1/7-1/5 of a second depending on range and shell velocity. Exact calculation unknown. The calculation assume 1/6 then subtracts 5m for safety.</t>
  </si>
  <si>
    <t>UnspottedKillRange=ShellVelocity/6-5</t>
  </si>
  <si>
    <t>Variables:</t>
  </si>
  <si>
    <t>CamoV=Camo of Vehicle in %</t>
  </si>
  <si>
    <t>CamoF=Combined Camo of Foilage</t>
  </si>
  <si>
    <t>CVSFactor=Reduction factor of CVS, is 1/0.85/0.8 for No CVS/CVS/CVS in spotting slot</t>
  </si>
  <si>
    <t>CVSFactorMoving=Reduction factor of CVS for moving tanks, is 1/0,9/0.875 for No CVS/CVS/CVS in spotting slot</t>
  </si>
  <si>
    <t>CamoRetention= Factor of total camo a tank keeps after firing. Calculated as (Camo after firing / CamoV)</t>
  </si>
  <si>
    <t>Credits:</t>
  </si>
  <si>
    <t>Bishox</t>
  </si>
  <si>
    <t>Testing and just being a great help (taught iyouxin about 36% and 42% camo values to stay unspotted)</t>
  </si>
  <si>
    <t>DarkNinja_</t>
  </si>
  <si>
    <t>Further Information about camo after firing</t>
  </si>
  <si>
    <t>https://www.youtube.com/watch?v=OhkALCdKIWE</t>
  </si>
  <si>
    <t>iyouxin</t>
  </si>
  <si>
    <t>Unicum WoT Streamer who wanted this</t>
  </si>
  <si>
    <t>https://www.twitch.tv/iyouxin</t>
  </si>
  <si>
    <t>Infra / Kaleopan</t>
  </si>
  <si>
    <t>For making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</si>
</sst>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family val="2"/>
      <charset val="1"/>
    </font>
    <font>
      <b/>
      <sz val="10"/>
      <name val="Arial"/>
      <family val="2"/>
      <charset val="1"/>
    </font>
    <font>
      <sz val="10"/>
      <color rgb="FF0000FF"/>
      <name val="Arial"/>
      <family val="2"/>
      <charset val="1"/>
    </font>
    <font>
      <sz val="8"/>
      <name val="돋움"/>
      <family val="3"/>
      <charset val="129"/>
    </font>
  </fonts>
  <fills count="7">
    <fill>
      <patternFill patternType="none"/>
    </fill>
    <fill>
      <patternFill patternType="gray125"/>
    </fill>
    <fill>
      <patternFill patternType="solid">
        <fgColor rgb="FFB2B2B2"/>
        <bgColor rgb="FF969696"/>
      </patternFill>
    </fill>
    <fill>
      <patternFill patternType="solid">
        <fgColor rgb="FF000000"/>
        <bgColor rgb="FF003300"/>
      </patternFill>
    </fill>
    <fill>
      <patternFill patternType="solid">
        <fgColor rgb="FFFFE994"/>
        <bgColor rgb="FFFFFFCC"/>
      </patternFill>
    </fill>
    <fill>
      <patternFill patternType="solid">
        <fgColor rgb="FFFFB66C"/>
        <bgColor rgb="FFFF99CC"/>
      </patternFill>
    </fill>
    <fill>
      <patternFill patternType="solid">
        <fgColor rgb="FFFF7B59"/>
        <bgColor rgb="FFFF6600"/>
      </patternFill>
    </fill>
  </fills>
  <borders count="3">
    <border>
      <left/>
      <right/>
      <top/>
      <bottom/>
      <diagonal/>
    </border>
    <border>
      <left style="hair">
        <color auto="1"/>
      </left>
      <right/>
      <top/>
      <bottom/>
      <diagonal/>
    </border>
    <border>
      <left/>
      <right/>
      <top style="hair">
        <color auto="1"/>
      </top>
      <bottom style="hair">
        <color auto="1"/>
      </bottom>
      <diagonal/>
    </border>
  </borders>
  <cellStyleXfs count="1">
    <xf numFmtId="0" fontId="0" fillId="0" borderId="0"/>
  </cellStyleXfs>
  <cellXfs count="21">
    <xf numFmtId="0" fontId="0" fillId="0" borderId="0" xfId="0"/>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2" borderId="0" xfId="0" applyFill="1" applyAlignment="1">
      <alignment horizontal="center"/>
    </xf>
    <xf numFmtId="0" fontId="0" fillId="2" borderId="1" xfId="0" applyFill="1" applyBorder="1" applyAlignment="1">
      <alignment horizontal="center"/>
    </xf>
    <xf numFmtId="0" fontId="0" fillId="0" borderId="0" xfId="0" applyAlignment="1">
      <alignment horizontal="center"/>
    </xf>
    <xf numFmtId="0" fontId="0" fillId="3" borderId="0" xfId="0" applyFill="1"/>
    <xf numFmtId="0" fontId="0" fillId="0" borderId="0" xfId="0" applyAlignment="1">
      <alignment horizontal="center" vertical="center" wrapText="1"/>
    </xf>
    <xf numFmtId="1" fontId="0" fillId="4" borderId="0" xfId="0" applyNumberFormat="1" applyFill="1" applyAlignment="1">
      <alignment horizontal="center"/>
    </xf>
    <xf numFmtId="1" fontId="0" fillId="5" borderId="0" xfId="0" applyNumberFormat="1" applyFill="1" applyAlignment="1">
      <alignment horizontal="center"/>
    </xf>
    <xf numFmtId="1" fontId="0" fillId="6" borderId="2" xfId="0" applyNumberFormat="1" applyFill="1" applyBorder="1" applyAlignment="1">
      <alignment horizontal="center"/>
    </xf>
    <xf numFmtId="1" fontId="0" fillId="6" borderId="0" xfId="0" applyNumberFormat="1" applyFill="1" applyAlignment="1">
      <alignment horizontal="center"/>
    </xf>
    <xf numFmtId="0" fontId="0" fillId="0" borderId="2" xfId="0" applyBorder="1" applyAlignment="1">
      <alignment horizontal="center"/>
    </xf>
    <xf numFmtId="1" fontId="0" fillId="4" borderId="2" xfId="0" applyNumberFormat="1" applyFill="1" applyBorder="1" applyAlignment="1">
      <alignment horizontal="center"/>
    </xf>
    <xf numFmtId="1" fontId="0" fillId="5" borderId="2" xfId="0" applyNumberFormat="1" applyFill="1" applyBorder="1" applyAlignment="1">
      <alignment horizontal="center"/>
    </xf>
    <xf numFmtId="0" fontId="0" fillId="3" borderId="0" xfId="0" applyFill="1" applyAlignment="1">
      <alignment horizontal="center" vertical="center"/>
    </xf>
    <xf numFmtId="0" fontId="1" fillId="0" borderId="0" xfId="0" applyFont="1" applyAlignment="1">
      <alignment horizontal="left" vertical="center"/>
    </xf>
    <xf numFmtId="0" fontId="1" fillId="0" borderId="0" xfId="0" applyFont="1"/>
    <xf numFmtId="0" fontId="0" fillId="0" borderId="0" xfId="0" applyAlignment="1">
      <alignment wrapText="1"/>
    </xf>
    <xf numFmtId="0" fontId="2" fillId="0" borderId="0" xfId="0" applyFont="1"/>
  </cellXfs>
  <cellStyles count="1">
    <cellStyle name="표준"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CCFFFF"/>
      <rgbColor rgb="FF660066"/>
      <rgbColor rgb="FFFF7B59"/>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E994"/>
      <rgbColor rgb="FF99CCFF"/>
      <rgbColor rgb="FFFF99CC"/>
      <rgbColor rgb="FFCC99FF"/>
      <rgbColor rgb="FFFFB66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https://www.twitch.tv/iyouxin" TargetMode="External"/><Relationship Id="rId1" Type="http://schemas.openxmlformats.org/officeDocument/2006/relationships/hyperlink" Target="https://www.youtube.com/watch?v=OhkALCdKIW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3"/>
  <sheetViews>
    <sheetView tabSelected="1" zoomScale="121" zoomScaleNormal="160" workbookViewId="0">
      <selection activeCell="A2" sqref="A2"/>
    </sheetView>
  </sheetViews>
  <sheetFormatPr defaultColWidth="12" defaultRowHeight="12.5" x14ac:dyDescent="0.25"/>
  <cols>
    <col min="1" max="1" width="16.6328125" customWidth="1"/>
    <col min="2" max="2" width="18.6328125" customWidth="1"/>
    <col min="3" max="3" width="17.1796875" customWidth="1"/>
    <col min="4" max="4" width="11.54296875" customWidth="1"/>
    <col min="5" max="5" width="2.26953125" customWidth="1"/>
    <col min="6" max="6" width="16.6328125" customWidth="1"/>
    <col min="7" max="7" width="17.08984375" customWidth="1"/>
    <col min="8" max="8" width="9.90625" customWidth="1"/>
    <col min="9" max="9" width="2.7265625" customWidth="1"/>
    <col min="10" max="10" width="17.6328125" customWidth="1"/>
    <col min="11" max="11" width="17.08984375" customWidth="1"/>
    <col min="12" max="12" width="9.90625" customWidth="1"/>
    <col min="13" max="13" width="1.81640625" customWidth="1"/>
    <col min="14" max="14" width="17.6328125" customWidth="1"/>
    <col min="15" max="15" width="9.90625" customWidth="1"/>
    <col min="16" max="17" width="7.6328125" customWidth="1"/>
    <col min="18" max="18" width="11.54296875" customWidth="1"/>
    <col min="19" max="20" width="7.6328125" customWidth="1"/>
  </cols>
  <sheetData>
    <row r="1" spans="1:23" x14ac:dyDescent="0.25">
      <c r="A1" t="s">
        <v>0</v>
      </c>
      <c r="B1" t="s">
        <v>1</v>
      </c>
      <c r="K1" s="2"/>
      <c r="L1" s="3"/>
      <c r="M1" s="3"/>
      <c r="V1" s="2"/>
      <c r="W1" s="2"/>
    </row>
    <row r="2" spans="1:23" x14ac:dyDescent="0.25">
      <c r="A2" s="4">
        <v>30</v>
      </c>
      <c r="B2" s="5">
        <v>11.48</v>
      </c>
    </row>
    <row r="3" spans="1:23" x14ac:dyDescent="0.25">
      <c r="A3" t="s">
        <v>2</v>
      </c>
    </row>
    <row r="4" spans="1:23" x14ac:dyDescent="0.25">
      <c r="A4" s="4">
        <v>500</v>
      </c>
    </row>
    <row r="5" spans="1:23" x14ac:dyDescent="0.25">
      <c r="B5" s="6"/>
    </row>
    <row r="6" spans="1:23" x14ac:dyDescent="0.25">
      <c r="A6" s="7"/>
      <c r="B6" s="7"/>
      <c r="C6" s="7"/>
      <c r="D6" s="7"/>
      <c r="E6" s="7"/>
      <c r="F6" s="7"/>
      <c r="G6" s="7"/>
      <c r="H6" s="7"/>
      <c r="I6" s="7"/>
      <c r="J6" s="7"/>
      <c r="K6" s="7"/>
      <c r="L6" s="7"/>
      <c r="M6" s="7"/>
      <c r="V6" s="2"/>
      <c r="W6" s="2"/>
    </row>
    <row r="7" spans="1:23" x14ac:dyDescent="0.25">
      <c r="A7" s="3" t="s">
        <v>3</v>
      </c>
      <c r="C7" s="2" t="s">
        <v>4</v>
      </c>
      <c r="E7" s="7"/>
      <c r="F7" s="1" t="s">
        <v>5</v>
      </c>
      <c r="G7" s="1"/>
      <c r="H7" s="1"/>
      <c r="I7" s="7"/>
      <c r="J7" s="1" t="s">
        <v>6</v>
      </c>
      <c r="K7" s="1"/>
      <c r="L7" s="1"/>
      <c r="M7" s="7"/>
    </row>
    <row r="8" spans="1:23" ht="25" x14ac:dyDescent="0.25">
      <c r="B8" s="8" t="s">
        <v>7</v>
      </c>
      <c r="C8" s="8" t="s">
        <v>8</v>
      </c>
      <c r="D8" s="8" t="s">
        <v>9</v>
      </c>
      <c r="E8" s="7"/>
      <c r="F8" s="8" t="s">
        <v>7</v>
      </c>
      <c r="G8" s="8" t="s">
        <v>8</v>
      </c>
      <c r="H8" s="8" t="s">
        <v>9</v>
      </c>
      <c r="I8" s="7"/>
      <c r="J8" s="8" t="s">
        <v>7</v>
      </c>
      <c r="K8" s="8" t="s">
        <v>8</v>
      </c>
      <c r="L8" s="8" t="s">
        <v>9</v>
      </c>
      <c r="M8" s="7"/>
    </row>
    <row r="9" spans="1:23" x14ac:dyDescent="0.25">
      <c r="A9" s="6" t="s">
        <v>10</v>
      </c>
      <c r="B9" s="9">
        <f>IF(($A$4)-(($A$2/100)+0.8*1)*($A$4-50)&gt;445,445,IF(($A$4)-(($A$2/100)+0.8*1)*($A$4-50)&gt;50,($A$4)-(($A$2/100)+0.8*1)*($A$4-50),50))</f>
        <v>50</v>
      </c>
      <c r="C9" s="10">
        <f>IF(($A$4)-(($B$2/100)+0.8*1)*($A$4-50)&gt;445,445,IF(($A$4)-(($B$2/100)+0.8*1)*($A$4-50)&gt;50,($A$4)-(($B$2/100)+0.8*1)*($A$4-50),50))</f>
        <v>88.339999999999975</v>
      </c>
      <c r="D9" s="11">
        <f>IF(($A$4)-(($A$2/100)+0.5*1)*($B$2/$A$2)*($A$4-50)&gt;445,445,IF(($A$4)-(($A$2/100)+0.5*1)*($B$2/$A$2)*($A$4-50)&gt;50,($A$4)-(($A$2/100)+0.5*1)*($B$2/$A$2)*($A$4-50),50))</f>
        <v>362.24</v>
      </c>
      <c r="E9" s="7"/>
      <c r="F9" s="9">
        <f>IF(($A$4)-(($A$2/100)+0.8*0.85)*($A$4-50)&gt;445,445,IF(($A$4)-(($A$2/100)+0.8*0.85)*($A$4-50)&gt;50,($A$4)-(($A$2/100)+0.8*0.85)*($A$4-50),50))</f>
        <v>59</v>
      </c>
      <c r="G9" s="10">
        <f>IF(($A$4)-(($B$2/100)+0.8*0.85)*($A$4-50)&gt;445,445,IF(($A$4)-(($B$2/100)+0.8*0.85)*($A$4-50)&gt;50,($A$4)-(($B$2/100)+0.8*0.85)*($A$4-50),50))</f>
        <v>142.33999999999997</v>
      </c>
      <c r="H9" s="12">
        <f>IF(($A$4)-(($A$2/100)+0.5*0.85)*($B$2/$A$2)*($A$4-50)&gt;445,445,IF(($A$4)-(($A$2/100)+0.5*0.85)*($B$2/$A$2)*($A$4-50)&gt;50,($A$4)-(($A$2/100)+0.5*0.85)*($B$2/$A$2)*($A$4-50),50))</f>
        <v>375.15500000000003</v>
      </c>
      <c r="I9" s="7"/>
      <c r="J9" s="9">
        <f>IF(($A$4)-(($A$2/100)+0.8*0.8)*($A$4-50)&gt;445,445,IF(($A$4)-(($A$2/100)+0.8*0.8)*($A$4-50)&gt;50,($A$4)-(($A$2/100)+0.8*0.8)*($A$4-50),50))</f>
        <v>76.999999999999943</v>
      </c>
      <c r="K9" s="10">
        <f>IF(($A$4)-(($B$2/100)+0.8*0.8)*($A$4-50)&gt;445,445,IF(($A$4)-(($B$2/100)+0.8*0.8)*($A$4-50)&gt;50,($A$4)-(($B$2/100)+0.8*0.8)*($A$4-50),50))</f>
        <v>160.33999999999992</v>
      </c>
      <c r="L9" s="12">
        <f>IF(($A$4)-(($A$2/100)+0.5*0.8)*($B$2/$A$2)*($A$4-50)&gt;445,445,IF(($A$4)-(($A$2/100)+0.5*0.8)*($B$2/$A$2)*($A$4-50)&gt;50,($A$4)-(($A$2/100)+0.5*0.8)*($B$2/$A$2)*($A$4-50),50))</f>
        <v>379.46000000000004</v>
      </c>
      <c r="M9" s="7"/>
    </row>
    <row r="10" spans="1:23" x14ac:dyDescent="0.25">
      <c r="A10" s="13" t="s">
        <v>11</v>
      </c>
      <c r="B10" s="14">
        <f>IF(($A$4)-(($A$2/100)+0.5*1)*($A$4-50)&gt;445,445,IF(($A$4)-(($A$2/100)+0.5*1)*($A$4-50)&gt;50,($A$4)-(($A$2/100)+0.5*1)*($A$4-50),50))</f>
        <v>140</v>
      </c>
      <c r="C10" s="15">
        <f>IF(($A$4)-(($B$2/100)+0.5*1)*($A$4-50)&gt;445,445,IF(($A$4)-(($B$2/100)+0.5*1)*($A$4-50)&gt;50,($A$4)-(($B$2/100)+0.5*1)*($A$4-50),50))</f>
        <v>223.33999999999997</v>
      </c>
      <c r="D10" s="11">
        <f>IF(($A$4)-(($A$2/100)+0.5*1)*($B$2/$A$2)*($A$4-50)&gt;445,445,IF(($A$4)-(($A$2/100)+0.5*1)*($B$2/$A$2)*($A$4-50)&gt;50,($A$4)-(($A$2/100)+0.5*1)*($B$2/$A$2)*($A$4-50),50))</f>
        <v>362.24</v>
      </c>
      <c r="E10" s="7"/>
      <c r="F10" s="14">
        <f>IF(($A$4)-(($A$2/100)+0.5*0.85)*($A$4-50)&gt;445,445,IF(($A$4)-(($A$2/100)+0.5*0.85)*($A$4-50)&gt;50,($A$4)-(($A$2/100)+0.5*0.85)*($A$4-50),50))</f>
        <v>173.75</v>
      </c>
      <c r="G10" s="15">
        <f>IF(($A$4)-(($B$2/100)+0.5*0.85)*($A$4-50)&gt;445,445,IF(($A$4)-(($B$2/100)+0.5*0.85)*($A$4-50)&gt;50,($A$4)-(($B$2/100)+0.5*0.85)*($A$4-50),50))</f>
        <v>257.09000000000003</v>
      </c>
      <c r="H10" s="11">
        <f>IF(($A$4)-(($A$2/100)+0.5*0.85)*($B$2/$A$2)*($A$4-50)&gt;445,445,IF(($A$4)-(($A$2/100)+0.5*0.85)*($B$2/$A$2)*($A$4-50)&gt;50,($A$4)-(($A$2/100)+0.5*0.85)*($B$2/$A$2)*($A$4-50),50))</f>
        <v>375.15500000000003</v>
      </c>
      <c r="I10" s="7"/>
      <c r="J10" s="14">
        <f>IF(($A$4)-(($A$2/100)+0.5*0.8)*($A$4-50)&gt;445,445,IF(($A$4)-(($A$2/100)+0.5*0.8)*($A$4-50)&gt;50,($A$4)-(($A$2/100)+0.5*0.8)*($A$4-50),50))</f>
        <v>185</v>
      </c>
      <c r="K10" s="15">
        <f>IF(($A$4)-(($B$2/100)+0.5*0.8)*($A$4-50)&gt;445,445,IF(($A$4)-(($B$2/100)+0.5*0.8)*($A$4-50)&gt;50,($A$4)-(($B$2/100)+0.5*0.8)*($A$4-50),50))</f>
        <v>268.33999999999997</v>
      </c>
      <c r="L10" s="11">
        <f>IF(($A$4)-(($A$2/100)+0.5*0.8)*($B$2/$A$2)*($A$4-50)&gt;445,445,IF(($A$4)-(($A$2/100)+0.5*0.8)*($B$2/$A$2)*($A$4-50)&gt;50,($A$4)-(($A$2/100)+0.5*0.8)*($B$2/$A$2)*($A$4-50),50))</f>
        <v>379.46000000000004</v>
      </c>
      <c r="M10" s="7"/>
    </row>
    <row r="11" spans="1:23" x14ac:dyDescent="0.25">
      <c r="A11" s="13" t="s">
        <v>12</v>
      </c>
      <c r="B11" s="14">
        <f>IF(($A$4)-(($A$2/100)+0.25*1)*($A$4-50)&gt;445,445,IF(($A$4)-(($A$2/100)+0.25*1)*($A$4-50)&gt;50,($A$4)-(($A$2/100)+0.25*1)*($A$4-50),50))</f>
        <v>252.49999999999997</v>
      </c>
      <c r="C11" s="15">
        <f>IF(($A$4)-(($B$2/100)+0.25*1)*($A$4-50)&gt;445,445,IF(($A$4)-(($B$2/100)+0.25*1)*($A$4-50)&gt;50,($A$4)-(($B$2/100)+0.25*1)*($A$4-50),50))</f>
        <v>335.84000000000003</v>
      </c>
      <c r="D11" s="11">
        <f>IF(($A$4)-(($A$2/100)+0.25*1)*($B$2/$A$2)*($A$4-50)&gt;445,445,IF(($A$4)-(($A$2/100)+0.25*1)*($B$2/$A$2)*($A$4-50)&gt;50,($A$4)-(($A$2/100)+0.25*1)*($B$2/$A$2)*($A$4-50),50))</f>
        <v>405.28999999999996</v>
      </c>
      <c r="E11" s="7"/>
      <c r="F11" s="14">
        <f>IF(($A$4)-(($A$2/100)+0.25*0.85)*($A$4-50)&gt;445,445,IF(($A$4)-(($A$2/100)+0.25*0.85)*($A$4-50)&gt;50,($A$4)-(($A$2/100)+0.25*0.85)*($A$4-50),50))</f>
        <v>269.375</v>
      </c>
      <c r="G11" s="15">
        <f>IF(($A$4)-(($B$2/100)+0.25*0.85)*($A$4-50)&gt;445,445,IF(($A$4)-(($B$2/100)+0.25*0.85)*($A$4-50)&gt;50,($A$4)-(($B$2/100)+0.25*0.85)*($A$4-50),50))</f>
        <v>352.71500000000003</v>
      </c>
      <c r="H11" s="11">
        <f>IF(($A$4)-(($A$2/100)+0.25*0.85)*($B$2/$A$2)*($A$4-50)&gt;445,445,IF(($A$4)-(($A$2/100)+0.25*0.85)*($B$2/$A$2)*($A$4-50)&gt;50,($A$4)-(($A$2/100)+0.25*0.85)*($B$2/$A$2)*($A$4-50),50))</f>
        <v>411.7475</v>
      </c>
      <c r="I11" s="7"/>
      <c r="J11" s="14">
        <f>IF(($A$4)-(($A$2/100)+0.25*0.8)*($A$4-50)&gt;445,445,IF(($A$4)-(($A$2/100)+0.25*0.8)*($A$4-50)&gt;50,($A$4)-(($A$2/100)+0.25*0.8)*($A$4-50),50))</f>
        <v>275</v>
      </c>
      <c r="K11" s="15">
        <f>IF(($A$4)-(($B$2/100)+0.25*0.8)*($A$4-50)&gt;445,445,IF(($A$4)-(($B$2/100)+0.25*0.8)*($A$4-50)&gt;50,($A$4)-(($B$2/100)+0.25*0.8)*($A$4-50),50))</f>
        <v>358.34</v>
      </c>
      <c r="L11" s="11">
        <f>IF(($A$4)-(($A$2/100)+0.25*0.8)*($B$2/$A$2)*($A$4-50)&gt;445,445,IF(($A$4)-(($A$2/100)+0.25*0.8)*($B$2/$A$2)*($A$4-50)&gt;50,($A$4)-(($A$2/100)+0.25*0.8)*($B$2/$A$2)*($A$4-50),50))</f>
        <v>413.9</v>
      </c>
      <c r="M11" s="7"/>
    </row>
    <row r="12" spans="1:23" x14ac:dyDescent="0.25">
      <c r="A12" s="6" t="s">
        <v>13</v>
      </c>
      <c r="B12" s="9">
        <f>IF(($A$4)-(($A$2/100)+0*1)*($A$4-50)&gt;445,445,IF(($A$4)-(($A$2/100)+0*1)*($A$4-50)&gt;50,($A$4)-(($A$2/100)+0*1)*($A$4-50),50))</f>
        <v>365</v>
      </c>
      <c r="C12" s="10">
        <f>IF(($A$4)-(($B$2/100)+0*1)*($A$4-50)&gt;445,445,IF(($A$4)-(($B$2/100)+0*1)*($A$4-50)&gt;50,($A$4)-(($B$2/100)+0*1)*($A$4-50),50))</f>
        <v>445</v>
      </c>
      <c r="D12" s="12">
        <f>IF(($A$4)-(($A$2/100)+0*1)*($B$2/$A$2)*($A$4-50)&gt;445,445,IF(($A$4)-(($A$2/100)+0*1)*($B$2/$A$2)*($A$4-50)&gt;50,($A$4)-(($A$2/100)+0*1)*($B$2/$A$2)*($A$4-50),50))</f>
        <v>445</v>
      </c>
      <c r="E12" s="7"/>
      <c r="F12" s="9">
        <f>IF(($A$4)-(($A$2/100)+0*0.85)*($A$4-50)&gt;445,445,IF(($A$4)-(($A$2/100)+0*0.85)*($A$4-50)&gt;50,($A$4)-(($A$2/100)+0*0.85)*($A$4-50),50))</f>
        <v>365</v>
      </c>
      <c r="G12" s="10">
        <f>IF(($A$4)-(($B$2/100)+0*0.85)*($A$4-50)&gt;445,445,IF(($A$4)-(($B$2/100)+0*0.85)*($A$4-50)&gt;50,($A$4)-(($B$2/100)+0*0.85)*($A$4-50),50))</f>
        <v>445</v>
      </c>
      <c r="H12" s="12">
        <f>IF(($A$4)-(($A$2/100)+0*0.85)*($B$2/$A$2)*($A$4-50)&gt;445,445,IF(($A$4)-(($A$2/100)+0*0.85)*($B$2/$A$2)*($A$4-50)&gt;50,($A$4)-(($A$2/100)+0*0.85)*($B$2/$A$2)*($A$4-50),50))</f>
        <v>445</v>
      </c>
      <c r="I12" s="7"/>
      <c r="J12" s="9">
        <f>IF(($A$4)-(($A$2/100)+0*0.8)*($A$4-50)&gt;445,445,IF(($A$4)-(($A$2/100)+0*0.8)*($A$4-50)&gt;50,($A$4)-(($A$2/100)+0*0.8)*($A$4-50),50))</f>
        <v>365</v>
      </c>
      <c r="K12" s="10">
        <f>IF(($A$4)-(($B$2/100)+0*0.8)*($A$4-50)&gt;445,445,IF(($A$4)-(($B$2/100)+0*0.8)*($A$4-50)&gt;50,($A$4)-(($B$2/100)+0*0.8)*($A$4-50),50))</f>
        <v>445</v>
      </c>
      <c r="L12" s="12">
        <f>IF(($A$4)-(($A$2/100)+0*0.8)*($B$2/$A$2)*($A$4-50)&gt;445,445,IF(($A$4)-(($A$2/100)+0*0.8)*($B$2/$A$2)*($A$4-50)&gt;50,($A$4)-(($A$2/100)+0*0.8)*($B$2/$A$2)*($A$4-50),50))</f>
        <v>445</v>
      </c>
      <c r="M12" s="7"/>
    </row>
    <row r="13" spans="1:23" x14ac:dyDescent="0.25">
      <c r="A13" s="7"/>
      <c r="B13" s="7"/>
      <c r="C13" s="7"/>
      <c r="D13" s="7"/>
      <c r="E13" s="7"/>
      <c r="F13" s="7"/>
      <c r="G13" s="7"/>
      <c r="H13" s="16"/>
      <c r="I13" s="7"/>
      <c r="J13" s="16"/>
      <c r="K13" s="7"/>
      <c r="L13" s="16"/>
      <c r="M13" s="7"/>
    </row>
    <row r="14" spans="1:23" x14ac:dyDescent="0.25">
      <c r="A14" s="3" t="s">
        <v>14</v>
      </c>
      <c r="C14" s="2" t="s">
        <v>4</v>
      </c>
      <c r="D14" s="2"/>
      <c r="E14" s="7"/>
      <c r="F14" s="1" t="s">
        <v>5</v>
      </c>
      <c r="G14" s="1"/>
      <c r="H14" s="1"/>
      <c r="I14" s="7"/>
      <c r="J14" s="1" t="s">
        <v>6</v>
      </c>
      <c r="K14" s="1"/>
      <c r="L14" s="1"/>
      <c r="M14" s="7"/>
    </row>
    <row r="15" spans="1:23" ht="25" x14ac:dyDescent="0.25">
      <c r="B15" s="8" t="s">
        <v>7</v>
      </c>
      <c r="C15" s="8" t="s">
        <v>8</v>
      </c>
      <c r="D15" s="8" t="s">
        <v>9</v>
      </c>
      <c r="E15" s="7"/>
      <c r="F15" s="8" t="s">
        <v>7</v>
      </c>
      <c r="G15" s="8" t="s">
        <v>8</v>
      </c>
      <c r="H15" s="8" t="s">
        <v>9</v>
      </c>
      <c r="I15" s="7"/>
      <c r="J15" s="8" t="s">
        <v>7</v>
      </c>
      <c r="K15" s="8" t="s">
        <v>8</v>
      </c>
      <c r="L15" s="8" t="s">
        <v>9</v>
      </c>
      <c r="M15" s="7"/>
    </row>
    <row r="16" spans="1:23" x14ac:dyDescent="0.25">
      <c r="A16" s="6" t="s">
        <v>10</v>
      </c>
      <c r="B16" s="9">
        <f>IF(($A$4)-(($A$2/100)+0.8*1)*($A$4-50)&gt;445,445,IF(($A$4)-(($A$2/100)+0.8*1)*($A$4-50)&gt;50,($A$4)-(($A$2/100)+0.8*1)*($A$4-50),50))</f>
        <v>50</v>
      </c>
      <c r="C16" s="10">
        <f>IF(($A$4)-(($B$2/100)+0.8*1)*($A$4-50)&gt;445,445,IF(($A$4)-(($B$2/100)+0.8*1)*($A$4-50)&gt;50,($A$4)-(($B$2/100)+0.8*1)*($A$4-50),50))</f>
        <v>88.339999999999975</v>
      </c>
      <c r="D16" s="11">
        <f>IF(($A$4)-(($A$2/100)+0.5*1)*($B$2/$A$2)*($A$4-50)&gt;445,445,IF(($A$4)-(($A$2/100)+0.5*1)*($B$2/$A$2)*($A$4-50)&gt;50,($A$4)-(($A$2/100)+0.5*1)*($B$2/$A$2)*($A$4-50),50))</f>
        <v>362.24</v>
      </c>
      <c r="E16" s="7"/>
      <c r="F16" s="9">
        <f>IF(($A$4)-(($A$2/100)*0.9+0.8*0.85)*($A$4-50)&gt;445,445,IF(($A$4)-(($A$2/100)*0.9+0.8*0.85)*($A$4-50)&gt;50,($A$4)-(($A$2/100)*0.9+0.8*0.85)*($A$4-50),50))</f>
        <v>72.499999999999943</v>
      </c>
      <c r="G16" s="10">
        <f>IF(($A$4)-(($B$2/100)*0.9+0.8*0.85)*($A$4-50)&gt;445,445,IF(($A$4)-(($B$2/100)*0.9+0.8*0.85)*($A$4-50)&gt;50,($A$4)-(($B$2/100)*0.9+0.8*0.85)*($A$4-50),50))</f>
        <v>147.50599999999997</v>
      </c>
      <c r="H16" s="12">
        <f>IF(($A$4)-(($A$2/100)*0.9+0.5*0.85)*($B$2/$A$2)*($A$4-50)&gt;445,445,IF(($A$4)-(($A$2/100)*0.9+0.5*0.85)*($B$2/$A$2)*($A$4-50)&gt;50,($A$4)-(($A$2/100)*0.9+0.5*0.85)*($B$2/$A$2)*($A$4-50),50))</f>
        <v>380.32099999999997</v>
      </c>
      <c r="I16" s="7"/>
      <c r="J16" s="9">
        <f>IF(($A$4)-(($A$2/100)*0.875+0.8*0.8)*($A$4-50)&gt;445,445,IF(($A$4)-(($A$2/100)*0.875+0.8*0.8)*($A$4-50)&gt;50,($A$4)-(($A$2/100)*0.875+0.8*0.8)*($A$4-50),50))</f>
        <v>93.874999999999943</v>
      </c>
      <c r="K16" s="10">
        <f>IF(($A$4)-(($B$2/100)*0.875+0.8*0.8)*($A$4-50)&gt;445,445,IF(($A$4)-(($B$2/100)*0.875+0.8*0.8)*($A$4-50)&gt;50,($A$4)-(($B$2/100)*0.875+0.8*0.8)*($A$4-50),50))</f>
        <v>166.7974999999999</v>
      </c>
      <c r="L16" s="12">
        <f>IF(($A$4)-(($A$2/100)*0.85+0.5*0.8)*($B$2/$A$2)*($A$4-50)&gt;445,445,IF(($A$4)-(($A$2/100)*0.85+0.5*0.8)*($B$2/$A$2)*($A$4-50)&gt;50,($A$4)-(($A$2/100)*0.9+0.5*0.8)*($B$2/$A$2)*($A$4-50),50))</f>
        <v>384.62599999999998</v>
      </c>
      <c r="M16" s="7"/>
    </row>
    <row r="17" spans="1:13" x14ac:dyDescent="0.25">
      <c r="A17" s="13" t="s">
        <v>11</v>
      </c>
      <c r="B17" s="14">
        <f>IF(($A$4)-(($A$2/100)+0.5*1)*($A$4-50)&gt;445,445,IF(($A$4)-(($A$2/100)+0.5*1)*($A$4-50)&gt;50,($A$4)-(($A$2/100)+0.5*1)*($A$4-50),50))</f>
        <v>140</v>
      </c>
      <c r="C17" s="15">
        <f>IF(($A$4)-(($B$2/100)+0.5*1)*($A$4-50)&gt;445,445,IF(($A$4)-(($B$2/100)+0.5*1)*($A$4-50)&gt;50,($A$4)-(($B$2/100)+0.5*1)*($A$4-50),50))</f>
        <v>223.33999999999997</v>
      </c>
      <c r="D17" s="11">
        <f>IF(($A$4)-(($A$2/100)+0.5*1)*($B$2/$A$2)*($A$4-50)&gt;445,445,IF(($A$4)-(($A$2/100)+0.5*1)*($B$2/$A$2)*($A$4-50)&gt;50,($A$4)-(($A$2/100)+0.5*1)*($B$2/$A$2)*($A$4-50),50))</f>
        <v>362.24</v>
      </c>
      <c r="E17" s="7"/>
      <c r="F17" s="14">
        <f>IF(($A$4)-(($A$2/100)*0.9+0.5*0.85)*($A$4-50)&gt;445,445,IF(($A$4)-(($A$2/100)*0.9+0.5*0.85)*($A$4-50)&gt;50,($A$4)-(($A$2/100)*0.9+0.5*0.85)*($A$4-50),50))</f>
        <v>187.25</v>
      </c>
      <c r="G17" s="15">
        <f>IF(($A$4)-(($B$2/100)*0.9+0.5*0.85)*($A$4-50)&gt;445,445,IF(($A$4)-(($B$2/100)*0.9+0.5*0.85)*($A$4-50)&gt;50,($A$4)-(($B$2/100)*0.9+0.5*0.85)*($A$4-50),50))</f>
        <v>262.25599999999997</v>
      </c>
      <c r="H17" s="11">
        <f>IF(($A$4)-(($A$2/100)*0.9+0.5*0.85)*($B$2/$A$2)*($A$4-50)&gt;445,445,IF(($A$4)-(($A$2/100)*0.9+0.5*0.85)*($B$2/$A$2)*($A$4-50)&gt;50,($A$4)-(($A$2/100)*0.9+0.5*0.85)*($B$2/$A$2)*($A$4-50),50))</f>
        <v>380.32099999999997</v>
      </c>
      <c r="I17" s="7"/>
      <c r="J17" s="14">
        <f>IF(($A$4)-(($A$2/100)*0.875+0.5*0.8)*($A$4-50)&gt;445,445,IF(($A$4)-(($A$2/100)*0.875+0.5*0.8)*($A$4-50)&gt;50,($A$4)-(($A$2/100)*0.875+0.5*0.8)*($A$4-50),50))</f>
        <v>201.87499999999994</v>
      </c>
      <c r="K17" s="15">
        <f>IF(($A$4)-(($B$2/100)*0.875+0.5*0.8)*($A$4-50)&gt;445,445,IF(($A$4)-(($B$2/100)*0.875+0.5*0.8)*($A$4-50)&gt;50,($A$4)-(($B$2/100)*0.875+0.5*0.8)*($A$4-50),50))</f>
        <v>274.79750000000001</v>
      </c>
      <c r="L17" s="11">
        <f>IF(($A$4)-(($A$2/100)*0.85+0.5*0.8)*($B$2/$A$2)*($A$4-50)&gt;445,445,IF(($A$4)-(($A$2/100)*0.85+0.5*0.8)*($B$2/$A$2)*($A$4-50)&gt;50,($A$4)-(($A$2/100)*0.9+0.5*0.8)*($B$2/$A$2)*($A$4-50),50))</f>
        <v>384.62599999999998</v>
      </c>
      <c r="M17" s="7"/>
    </row>
    <row r="18" spans="1:13" x14ac:dyDescent="0.25">
      <c r="A18" s="13" t="s">
        <v>12</v>
      </c>
      <c r="B18" s="14">
        <f>IF(($A$4)-(($A$2/100)+0.25*1)*($A$4-50)&gt;445,445,IF(($A$4)-(($A$2/100)+0.25*1)*($A$4-50)&gt;50,($A$4)-(($A$2/100)+0.25*1)*($A$4-50),50))</f>
        <v>252.49999999999997</v>
      </c>
      <c r="C18" s="15">
        <f>IF(($A$4)-(($B$2/100)+0.25*1)*($A$4-50)&gt;445,445,IF(($A$4)-(($B$2/100)+0.25*1)*($A$4-50)&gt;50,($A$4)-(($B$2/100)+0.25*1)*($A$4-50),50))</f>
        <v>335.84000000000003</v>
      </c>
      <c r="D18" s="11">
        <f>IF(($A$4)-(($A$2/100)+0.25*1)*($B$2/$A$2)*($A$4-50)&gt;445,445,IF(($A$4)-(($A$2/100)+0.25*1)*($B$2/$A$2)*($A$4-50)&gt;50,($A$4)-(($A$2/100)+0.25*1)*($B$2/$A$2)*($A$4-50),50))</f>
        <v>405.28999999999996</v>
      </c>
      <c r="E18" s="7"/>
      <c r="F18" s="14">
        <f>IF(($A$4)-(($A$2/100)*0.9+0.25*0.85)*($A$4-50)&gt;445,445,IF(($A$4)-(($A$2/100)*0.9+0.25*0.85)*($A$4-50)&gt;50,($A$4)-(($A$2/100)*0.9+0.25*0.85)*($A$4-50),50))</f>
        <v>282.875</v>
      </c>
      <c r="G18" s="15">
        <f>IF(($A$4)-(($B$2/100)*0.9+0.25*0.85)*($A$4-50)&gt;445,445,IF(($A$4)-(($B$2/100)*0.9+0.25*0.85)*($A$4-50)&gt;50,($A$4)-(($B$2/100)*0.9+0.25*0.85)*($A$4-50),50))</f>
        <v>357.88099999999997</v>
      </c>
      <c r="H18" s="11">
        <f>IF(($A$4)-(($A$2/100)*0.9+0.25*0.85)*($B$2/$A$2)*($A$4-50)&gt;445,445,IF(($A$4)-(($A$2/100)*0.9+0.25*0.85)*($B$2/$A$2)*($A$4-50)&gt;50,($A$4)-(($A$2/100)*0.9+0.25*0.85)*($B$2/$A$2)*($A$4-50),50))</f>
        <v>416.9135</v>
      </c>
      <c r="I18" s="7"/>
      <c r="J18" s="14">
        <f>IF(($A$4)-(($A$2/100)*0.875+0.25*0.8)*($A$4-50)&gt;445,445,IF(($A$4)-(($A$2/100)*0.875+0.25*0.8)*($A$4-50)&gt;50,($A$4)-(($A$2/100)*0.875+0.25*0.8)*($A$4-50),50))</f>
        <v>291.875</v>
      </c>
      <c r="K18" s="15">
        <f>IF(($A$4)-(($B$2/100)*0.875+0.25*0.8)*($A$4-50)&gt;445,445,IF(($A$4)-(($B$2/100)*0.875+0.25*0.8)*($A$4-50)&gt;50,($A$4)-(($B$2/100)*0.875+0.25*0.8)*($A$4-50),50))</f>
        <v>364.79750000000001</v>
      </c>
      <c r="L18" s="11">
        <f>IF(($A$4)-(($A$2/100)*0.85+0.25*0.8)*($B$2/$A$2)*($A$4-50)&gt;445,445,IF(($A$4)-(($A$2/100)*0.85+0.25*0.8)*($B$2/$A$2)*($A$4-50)&gt;50,($A$4)-(($A$2/100)*0.9+0.25*0.8)*($B$2/$A$2)*($A$4-50),50))</f>
        <v>419.06600000000003</v>
      </c>
      <c r="M18" s="7"/>
    </row>
    <row r="19" spans="1:13" x14ac:dyDescent="0.25">
      <c r="A19" s="6" t="s">
        <v>13</v>
      </c>
      <c r="B19" s="9">
        <f>IF(($A$4)-(($A$2/100)+0*1)*($A$4-50)&gt;445,445,IF(($A$4)-(($A$2/100)+0*1)*($A$4-50)&gt;50,($A$4)-(($A$2/100)+0*1)*($A$4-50),50))</f>
        <v>365</v>
      </c>
      <c r="C19" s="10">
        <f>IF(($A$4)-(($B$2/100)+0*1)*($A$4-50)&gt;445,445,IF(($A$4)-(($B$2/100)+0*1)*($A$4-50)&gt;50,($A$4)-(($B$2/100)+0*1)*($A$4-50),50))</f>
        <v>445</v>
      </c>
      <c r="D19" s="12">
        <f>IF(($A$4)-(($A$2/100)+0*1)*($B$2/$A$2)*($A$4-50)&gt;445,445,IF(($A$4)-(($A$2/100)+0*1)*($B$2/$A$2)*($A$4-50)&gt;50,($A$4)-(($A$2/100)+0*1)*($B$2/$A$2)*($A$4-50),50))</f>
        <v>445</v>
      </c>
      <c r="E19" s="7"/>
      <c r="F19" s="9">
        <f>IF(($A$4)-(($A$2/100)*0.9+0*0.85)*($A$4-50)&gt;445,445,IF(($A$4)-(($A$2/100)*0.9+0*0.85)*($A$4-50)&gt;50,($A$4)-(($A$2/100)*0.9+0*0.85)*($A$4-50),50))</f>
        <v>378.5</v>
      </c>
      <c r="G19" s="10">
        <f>IF(($A$4)-(($B$2/100)*0.9+0*0.85)*($A$4-50)&gt;445,445,IF(($A$4)-(($B$2/100)*0.9+0*0.85)*($A$4-50)&gt;50,($A$4)-(($B$2/100)*0.9+0*0.85)*($A$4-50),50))</f>
        <v>445</v>
      </c>
      <c r="H19" s="12">
        <f>IF(($A$4)-(($A$2/100)*0.9+0*0.85)*($B$2/$A$2)*($A$4-50)&gt;445,445,IF(($A$4)-(($A$2/100)*0.9+0*0.85)*($B$2/$A$2)*($A$4-50)&gt;50,($A$4)-(($A$2/100)*0.9+0*0.85)*($B$2/$A$2)*($A$4-50),50))</f>
        <v>445</v>
      </c>
      <c r="I19" s="7"/>
      <c r="J19" s="9">
        <f>IF(($A$4)-(($A$2/100)*0.875+0*0.8)*($A$4-50)&gt;445,445,IF(($A$4)-(($A$2/100)*0.875+0*0.8)*($A$4-50)&gt;50,($A$4)-(($A$2/100)*0.875+0*0.8)*($A$4-50),50))</f>
        <v>381.875</v>
      </c>
      <c r="K19" s="10">
        <f>IF(($A$4)-(($B$2/100)*0.875+0*0.8)*($A$4-50)&gt;445,445,IF(($A$4)-(($B$2/100)*0.875+0*0.8)*($A$4-50)&gt;50,($A$4)-(($B$2/100)*0.875+0*0.8)*($A$4-50),50))</f>
        <v>445</v>
      </c>
      <c r="L19" s="12">
        <f>IF(($A$4)-(($A$2/100)*0.85+0*0.8)*($B$2/$A$2)*($A$4-50)&gt;445,445,IF(($A$4)-(($A$2/100)*0.85+0*0.8)*($B$2/$A$2)*($A$4-50)&gt;50,($A$4)-(($A$2/100)*0.9+0*0.8)*($B$2/$A$2)*($A$4-50),50))</f>
        <v>445</v>
      </c>
      <c r="M19" s="7"/>
    </row>
    <row r="20" spans="1:13" x14ac:dyDescent="0.25">
      <c r="A20" s="7"/>
      <c r="B20" s="7"/>
      <c r="C20" s="7"/>
      <c r="D20" s="7"/>
      <c r="E20" s="7"/>
      <c r="F20" s="7"/>
      <c r="G20" s="7"/>
      <c r="H20" s="7"/>
      <c r="I20" s="7"/>
      <c r="J20" s="7"/>
      <c r="K20" s="7"/>
      <c r="L20" s="7"/>
      <c r="M20" s="7"/>
    </row>
    <row r="21" spans="1:13" x14ac:dyDescent="0.25">
      <c r="A21" t="s">
        <v>15</v>
      </c>
      <c r="B21" t="s">
        <v>16</v>
      </c>
      <c r="E21" s="7"/>
    </row>
    <row r="22" spans="1:13" x14ac:dyDescent="0.25">
      <c r="A22" s="4">
        <v>1200</v>
      </c>
      <c r="B22" s="9">
        <f>IF(A22/6-5&lt;51,"&lt; 50",A22/6-5)</f>
        <v>195</v>
      </c>
      <c r="E22" s="7"/>
    </row>
    <row r="23" spans="1:13" x14ac:dyDescent="0.25">
      <c r="A23" s="7"/>
      <c r="B23" s="7"/>
      <c r="C23" s="7"/>
      <c r="D23" s="7"/>
      <c r="E23" s="7"/>
    </row>
  </sheetData>
  <mergeCells count="4">
    <mergeCell ref="F7:H7"/>
    <mergeCell ref="J7:L7"/>
    <mergeCell ref="F14:H14"/>
    <mergeCell ref="J14:L14"/>
  </mergeCells>
  <phoneticPr fontId="3" type="noConversion"/>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Roman,Standard"&amp;12&amp;A</oddHeader>
    <oddFooter>&amp;C&amp;"Times New Roman,Standard"&amp;12Seite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4"/>
  <sheetViews>
    <sheetView zoomScale="160" zoomScaleNormal="160" workbookViewId="0">
      <selection activeCell="A13" sqref="A13"/>
    </sheetView>
  </sheetViews>
  <sheetFormatPr defaultColWidth="11.90625" defaultRowHeight="12.5" x14ac:dyDescent="0.25"/>
  <cols>
    <col min="1" max="1" width="79.81640625" customWidth="1"/>
  </cols>
  <sheetData>
    <row r="1" spans="1:1" x14ac:dyDescent="0.25">
      <c r="A1" t="s">
        <v>17</v>
      </c>
    </row>
    <row r="3" spans="1:1" ht="13" x14ac:dyDescent="0.25">
      <c r="A3" s="17" t="s">
        <v>18</v>
      </c>
    </row>
    <row r="4" spans="1:1" x14ac:dyDescent="0.25">
      <c r="A4" t="s">
        <v>19</v>
      </c>
    </row>
    <row r="6" spans="1:1" ht="13" x14ac:dyDescent="0.25">
      <c r="A6" s="17" t="s">
        <v>20</v>
      </c>
    </row>
    <row r="7" spans="1:1" x14ac:dyDescent="0.25">
      <c r="A7" t="s">
        <v>21</v>
      </c>
    </row>
    <row r="8" spans="1:1" x14ac:dyDescent="0.25">
      <c r="A8" t="s">
        <v>22</v>
      </c>
    </row>
    <row r="10" spans="1:1" ht="13" x14ac:dyDescent="0.3">
      <c r="A10" s="18" t="s">
        <v>23</v>
      </c>
    </row>
    <row r="11" spans="1:1" x14ac:dyDescent="0.25">
      <c r="A11" t="s">
        <v>24</v>
      </c>
    </row>
    <row r="12" spans="1:1" x14ac:dyDescent="0.25">
      <c r="A12" t="s">
        <v>25</v>
      </c>
    </row>
    <row r="13" spans="1:1" x14ac:dyDescent="0.25">
      <c r="A13" t="s">
        <v>26</v>
      </c>
    </row>
    <row r="15" spans="1:1" ht="13" x14ac:dyDescent="0.3">
      <c r="A15" s="18" t="s">
        <v>27</v>
      </c>
    </row>
    <row r="16" spans="1:1" x14ac:dyDescent="0.25">
      <c r="A16" t="s">
        <v>28</v>
      </c>
    </row>
    <row r="17" spans="1:1" x14ac:dyDescent="0.25">
      <c r="A17" t="s">
        <v>29</v>
      </c>
    </row>
    <row r="19" spans="1:1" ht="13" x14ac:dyDescent="0.3">
      <c r="A19" s="18" t="s">
        <v>30</v>
      </c>
    </row>
    <row r="20" spans="1:1" x14ac:dyDescent="0.25">
      <c r="A20" t="s">
        <v>31</v>
      </c>
    </row>
    <row r="21" spans="1:1" x14ac:dyDescent="0.25">
      <c r="A21" t="s">
        <v>32</v>
      </c>
    </row>
    <row r="22" spans="1:1" x14ac:dyDescent="0.25">
      <c r="A22" t="s">
        <v>33</v>
      </c>
    </row>
    <row r="23" spans="1:1" x14ac:dyDescent="0.25">
      <c r="A23" t="s">
        <v>34</v>
      </c>
    </row>
    <row r="24" spans="1:1" x14ac:dyDescent="0.25">
      <c r="A24" t="s">
        <v>35</v>
      </c>
    </row>
  </sheetData>
  <phoneticPr fontId="3" type="noConversion"/>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Roman,Standard"&amp;12&amp;A</oddHeader>
    <oddFooter>&amp;C&amp;"Times New Roman,Standard"&amp;12Seite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
  <sheetViews>
    <sheetView zoomScale="120" zoomScaleNormal="120" workbookViewId="0">
      <selection activeCell="B6" sqref="B6"/>
    </sheetView>
  </sheetViews>
  <sheetFormatPr defaultColWidth="11.54296875" defaultRowHeight="12.5" x14ac:dyDescent="0.25"/>
  <cols>
    <col min="1" max="1" width="24.1796875" customWidth="1"/>
    <col min="2" max="2" width="81.6328125" customWidth="1"/>
    <col min="3" max="3" width="43.1796875" customWidth="1"/>
  </cols>
  <sheetData>
    <row r="1" spans="1:3" x14ac:dyDescent="0.25">
      <c r="A1" t="s">
        <v>36</v>
      </c>
    </row>
    <row r="2" spans="1:3" x14ac:dyDescent="0.25">
      <c r="A2" s="19" t="s">
        <v>37</v>
      </c>
      <c r="B2" t="s">
        <v>38</v>
      </c>
    </row>
    <row r="3" spans="1:3" x14ac:dyDescent="0.25">
      <c r="A3" t="s">
        <v>39</v>
      </c>
      <c r="B3" t="s">
        <v>40</v>
      </c>
      <c r="C3" s="20" t="s">
        <v>41</v>
      </c>
    </row>
    <row r="4" spans="1:3" x14ac:dyDescent="0.25">
      <c r="A4" t="s">
        <v>42</v>
      </c>
      <c r="B4" t="s">
        <v>43</v>
      </c>
      <c r="C4" s="20" t="s">
        <v>44</v>
      </c>
    </row>
    <row r="5" spans="1:3" x14ac:dyDescent="0.25">
      <c r="A5" s="19" t="s">
        <v>45</v>
      </c>
      <c r="B5" t="s">
        <v>46</v>
      </c>
    </row>
  </sheetData>
  <phoneticPr fontId="3" type="noConversion"/>
  <hyperlinks>
    <hyperlink ref="C3" r:id="rId1" xr:uid="{00000000-0004-0000-0200-000000000000}"/>
    <hyperlink ref="C4" r:id="rId2" xr:uid="{00000000-0004-0000-0200-000001000000}"/>
  </hyperlink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Roman,Standard"&amp;12&amp;A</oddHeader>
    <oddFooter>&amp;C&amp;"Times New Roman,Standard"&amp;12Seite &amp;P</oddFooter>
  </headerFooter>
</worksheet>
</file>

<file path=docProps/app.xml><?xml version="1.0" encoding="utf-8"?>
<Properties xmlns="http://schemas.openxmlformats.org/officeDocument/2006/extended-properties" xmlns:vt="http://schemas.openxmlformats.org/officeDocument/2006/docPropsVTypes">
  <Template/>
  <TotalTime>878</TotalTime>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Spotting</vt:lpstr>
      <vt:lpstr>Info</vt:lpstr>
      <vt:lpstr>Credits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정효인</cp:lastModifiedBy>
  <cp:revision>83</cp:revision>
  <dcterms:created xsi:type="dcterms:W3CDTF">2023-01-16T10:42:33Z</dcterms:created>
  <dcterms:modified xsi:type="dcterms:W3CDTF">2024-01-02T10:59:18Z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ies>
</file>